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lindert/Desktop/"/>
    </mc:Choice>
  </mc:AlternateContent>
  <xr:revisionPtr revIDLastSave="0" documentId="8_{53E027FF-8A5C-C84D-A361-FF7F26C438F5}" xr6:coauthVersionLast="45" xr6:coauthVersionMax="45" xr10:uidLastSave="{00000000-0000-0000-0000-000000000000}"/>
  <bookViews>
    <workbookView xWindow="0" yWindow="460" windowWidth="24920" windowHeight="17340" xr2:uid="{00000000-000D-0000-FFFF-FFFF00000000}"/>
  </bookViews>
  <sheets>
    <sheet name="Peru 187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9" i="1" l="1"/>
  <c r="D53" i="1" s="1"/>
  <c r="D55" i="1"/>
  <c r="E55" i="1"/>
  <c r="E56" i="1" s="1"/>
  <c r="F55" i="1"/>
  <c r="F56" i="1" s="1"/>
  <c r="G55" i="1"/>
  <c r="H55" i="1"/>
  <c r="I55" i="1"/>
  <c r="I56" i="1" s="1"/>
  <c r="J55" i="1"/>
  <c r="J56" i="1" s="1"/>
  <c r="K55" i="1"/>
  <c r="K56" i="1" s="1"/>
  <c r="L55" i="1"/>
  <c r="D58" i="1"/>
  <c r="G56" i="1" s="1"/>
  <c r="D56" i="1"/>
  <c r="E53" i="1"/>
  <c r="E70" i="1" s="1"/>
  <c r="D57" i="1"/>
  <c r="E57" i="1" s="1"/>
  <c r="F53" i="1"/>
  <c r="G53" i="1"/>
  <c r="H53" i="1"/>
  <c r="H56" i="1"/>
  <c r="I53" i="1"/>
  <c r="I70" i="1" s="1"/>
  <c r="J53" i="1"/>
  <c r="K53" i="1"/>
  <c r="L53" i="1"/>
  <c r="L56" i="1"/>
  <c r="D68" i="1"/>
  <c r="D69" i="1" s="1"/>
  <c r="E43" i="1"/>
  <c r="E68" i="1"/>
  <c r="E69" i="1"/>
  <c r="F43" i="1"/>
  <c r="F68" i="1"/>
  <c r="F69" i="1"/>
  <c r="F70" i="1"/>
  <c r="G43" i="1"/>
  <c r="G68" i="1"/>
  <c r="G69" i="1"/>
  <c r="G70" i="1"/>
  <c r="H43" i="1"/>
  <c r="H68" i="1" s="1"/>
  <c r="I43" i="1"/>
  <c r="I68" i="1"/>
  <c r="I69" i="1"/>
  <c r="J43" i="1"/>
  <c r="J68" i="1"/>
  <c r="J69" i="1"/>
  <c r="J70" i="1"/>
  <c r="K43" i="1"/>
  <c r="K68" i="1"/>
  <c r="K69" i="1"/>
  <c r="K70" i="1"/>
  <c r="L43" i="1"/>
  <c r="L68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D20" i="1"/>
  <c r="D26" i="1" s="1"/>
  <c r="D25" i="1"/>
  <c r="J15" i="1"/>
  <c r="J14" i="1"/>
  <c r="J22" i="1"/>
  <c r="F15" i="1"/>
  <c r="F14" i="1"/>
  <c r="F22" i="1"/>
  <c r="J11" i="1"/>
  <c r="J12" i="1"/>
  <c r="J13" i="1"/>
  <c r="J16" i="1"/>
  <c r="J17" i="1"/>
  <c r="N15" i="1" s="1"/>
  <c r="J18" i="1"/>
  <c r="J19" i="1"/>
  <c r="N16" i="1" s="1"/>
  <c r="I20" i="1"/>
  <c r="G12" i="1"/>
  <c r="H12" i="1" s="1"/>
  <c r="F11" i="1"/>
  <c r="F12" i="1"/>
  <c r="F13" i="1"/>
  <c r="F16" i="1"/>
  <c r="F17" i="1"/>
  <c r="F18" i="1"/>
  <c r="F19" i="1"/>
  <c r="E20" i="1"/>
  <c r="N19" i="1"/>
  <c r="N18" i="1"/>
  <c r="N17" i="1"/>
  <c r="N14" i="1"/>
  <c r="N13" i="1"/>
  <c r="N12" i="1"/>
  <c r="N11" i="1"/>
  <c r="F57" i="1" l="1"/>
  <c r="F64" i="1" s="1"/>
  <c r="O18" i="1"/>
  <c r="O11" i="1"/>
  <c r="O12" i="1"/>
  <c r="O17" i="1"/>
  <c r="O19" i="1"/>
  <c r="O16" i="1"/>
  <c r="O13" i="1"/>
  <c r="O14" i="1"/>
  <c r="O15" i="1"/>
  <c r="H70" i="1"/>
  <c r="D70" i="1"/>
  <c r="D64" i="1"/>
  <c r="D54" i="1"/>
  <c r="E54" i="1" s="1"/>
  <c r="F54" i="1" s="1"/>
  <c r="G54" i="1" s="1"/>
  <c r="H54" i="1" s="1"/>
  <c r="I54" i="1" s="1"/>
  <c r="J54" i="1" s="1"/>
  <c r="K54" i="1" s="1"/>
  <c r="L54" i="1" s="1"/>
  <c r="G11" i="1"/>
  <c r="G18" i="1"/>
  <c r="H18" i="1" s="1"/>
  <c r="J20" i="1"/>
  <c r="G16" i="1"/>
  <c r="H16" i="1" s="1"/>
  <c r="G19" i="1"/>
  <c r="H19" i="1" s="1"/>
  <c r="F20" i="1"/>
  <c r="G14" i="1"/>
  <c r="H14" i="1" s="1"/>
  <c r="D60" i="1"/>
  <c r="E64" i="1"/>
  <c r="G13" i="1"/>
  <c r="H13" i="1" s="1"/>
  <c r="L69" i="1"/>
  <c r="L70" i="1" s="1"/>
  <c r="H69" i="1"/>
  <c r="G17" i="1"/>
  <c r="H17" i="1" s="1"/>
  <c r="G15" i="1"/>
  <c r="H15" i="1" s="1"/>
  <c r="D71" i="1" l="1"/>
  <c r="K15" i="1"/>
  <c r="K14" i="1"/>
  <c r="K19" i="1"/>
  <c r="K18" i="1"/>
  <c r="K12" i="1"/>
  <c r="K20" i="1"/>
  <c r="K13" i="1"/>
  <c r="K17" i="1"/>
  <c r="K11" i="1"/>
  <c r="K16" i="1"/>
  <c r="G20" i="1"/>
  <c r="H11" i="1"/>
  <c r="H20" i="1" s="1"/>
  <c r="N20" i="1"/>
  <c r="P20" i="1" s="1"/>
  <c r="Q20" i="1" s="1"/>
  <c r="O20" i="1"/>
  <c r="G57" i="1"/>
  <c r="G64" i="1"/>
  <c r="H57" i="1" l="1"/>
  <c r="H64" i="1"/>
  <c r="I57" i="1" l="1"/>
  <c r="I64" i="1"/>
  <c r="J57" i="1" l="1"/>
  <c r="J64" i="1"/>
  <c r="K57" i="1" l="1"/>
  <c r="K64" i="1" s="1"/>
  <c r="L57" i="1" l="1"/>
  <c r="L64" i="1" s="1"/>
  <c r="D66" i="1" s="1"/>
  <c r="J23" i="1" l="1"/>
  <c r="D72" i="1"/>
  <c r="E72" i="1" l="1"/>
  <c r="J24" i="1"/>
</calcChain>
</file>

<file path=xl/sharedStrings.xml><?xml version="1.0" encoding="utf-8"?>
<sst xmlns="http://schemas.openxmlformats.org/spreadsheetml/2006/main" count="81" uniqueCount="70">
  <si>
    <t>Peru 1876-1877</t>
  </si>
  <si>
    <t>Shane Hunt's estimates as revised in Albert Berry, Table 4, page 47.</t>
  </si>
  <si>
    <t>The revisons are upwards for the richest (patentees) and downward for farmers of both sexes</t>
  </si>
  <si>
    <t>Albert Berry:  International trade,</t>
  </si>
  <si>
    <t>government and income distribution in Peru since 1870, Latin American Research review, vol. 25, No. 2, 1990, pp.31-59..</t>
  </si>
  <si>
    <t>High inequality case (higher y of potantates)</t>
  </si>
  <si>
    <t>High inequality case</t>
  </si>
  <si>
    <t>Social group</t>
  </si>
  <si>
    <t>Labor force</t>
  </si>
  <si>
    <t>Income (000</t>
  </si>
  <si>
    <t>Average  per capita</t>
  </si>
  <si>
    <t>Share of labor force</t>
  </si>
  <si>
    <t>Population</t>
  </si>
  <si>
    <t>Total income</t>
  </si>
  <si>
    <t>Per capita</t>
  </si>
  <si>
    <t>In means</t>
  </si>
  <si>
    <t>Ranked by per capita income</t>
  </si>
  <si>
    <t>soles pa)</t>
  </si>
  <si>
    <t>income (soles pa)</t>
  </si>
  <si>
    <t>(in %)</t>
  </si>
  <si>
    <t>income</t>
  </si>
  <si>
    <t>pop</t>
  </si>
  <si>
    <t>total in (000)</t>
  </si>
  <si>
    <t>Laborers</t>
  </si>
  <si>
    <t>Farmers (both sexes)</t>
  </si>
  <si>
    <t>Female spinners</t>
  </si>
  <si>
    <t>Male laborers</t>
  </si>
  <si>
    <t>Low paying female occupation</t>
  </si>
  <si>
    <t>Business</t>
  </si>
  <si>
    <t xml:space="preserve">"Patentees" </t>
  </si>
  <si>
    <t>Poorer artisans-provinces</t>
  </si>
  <si>
    <t>Poorer artisans-Lima</t>
  </si>
  <si>
    <t>Other earners</t>
  </si>
  <si>
    <t>Govt</t>
  </si>
  <si>
    <t>Govt salaried people</t>
  </si>
  <si>
    <t>Total</t>
  </si>
  <si>
    <t>top to bottom ratio</t>
  </si>
  <si>
    <t>Gini minimum</t>
  </si>
  <si>
    <t>Gini  maxium</t>
  </si>
  <si>
    <t>Total population  1/</t>
  </si>
  <si>
    <t>Labor force/population</t>
  </si>
  <si>
    <t>1/ From the 1876 Census; data from  Letitia Arroyo Abad (sent June 19, 2008).</t>
  </si>
  <si>
    <t>Note: rural and urban rent and return to agriculatural  K</t>
  </si>
  <si>
    <t>(about 14% of total income) are unaallocated</t>
  </si>
  <si>
    <t>since there are no estimates of the number of</t>
  </si>
  <si>
    <t>recipients.</t>
  </si>
  <si>
    <t>Since these items were probably received by the rich: use the High inequality scenario from Berry.</t>
  </si>
  <si>
    <t>CALCULATION OF THE GINI COEFFICIENT WITH BOUNDS</t>
  </si>
  <si>
    <t>Input data</t>
  </si>
  <si>
    <t>_____________</t>
  </si>
  <si>
    <t>Income groups</t>
  </si>
  <si>
    <t>Lower bound</t>
  </si>
  <si>
    <t>Upper bound</t>
  </si>
  <si>
    <t>Average y</t>
  </si>
  <si>
    <t>Recipients(no.)</t>
  </si>
  <si>
    <t>Calculated data</t>
  </si>
  <si>
    <t>_________________</t>
  </si>
  <si>
    <t>% of recepients</t>
  </si>
  <si>
    <t>cumul.% recep.</t>
  </si>
  <si>
    <t>Total y per group</t>
  </si>
  <si>
    <t>% of y</t>
  </si>
  <si>
    <t>cumul.% of y</t>
  </si>
  <si>
    <t>Total no. of recep.</t>
  </si>
  <si>
    <t>Total average y</t>
  </si>
  <si>
    <t>Calculation of Gini</t>
  </si>
  <si>
    <t>_______________</t>
  </si>
  <si>
    <t>Gini coeff.</t>
  </si>
  <si>
    <t>Delta</t>
  </si>
  <si>
    <t>Gini diff.</t>
  </si>
  <si>
    <t>Gini coeff.(max)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</si>
</sst>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"/>
    <numFmt numFmtId="166" formatCode="0_)"/>
    <numFmt numFmtId="167" formatCode="0.0_)"/>
  </numFmts>
  <fonts count="7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Courier"/>
      <family val="3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165" fontId="4" fillId="0" borderId="0" xfId="0" applyNumberFormat="1" applyFont="1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0" fontId="0" fillId="0" borderId="0" xfId="0" applyProtection="1"/>
    <xf numFmtId="166" fontId="0" fillId="0" borderId="0" xfId="0" applyNumberFormat="1" applyProtection="1"/>
    <xf numFmtId="166" fontId="0" fillId="0" borderId="0" xfId="0" applyNumberFormat="1"/>
    <xf numFmtId="165" fontId="0" fillId="0" borderId="0" xfId="0" applyNumberFormat="1" applyProtection="1"/>
    <xf numFmtId="0" fontId="0" fillId="0" borderId="0" xfId="0" applyNumberFormat="1" applyProtection="1"/>
    <xf numFmtId="167" fontId="0" fillId="0" borderId="0" xfId="0" applyNumberFormat="1" applyProtection="1"/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72"/>
  <sheetViews>
    <sheetView tabSelected="1" zoomScale="110" zoomScaleNormal="110" workbookViewId="0">
      <selection activeCell="E20" sqref="E20"/>
    </sheetView>
  </sheetViews>
  <sheetFormatPr baseColWidth="10" defaultColWidth="8.83203125" defaultRowHeight="13" x14ac:dyDescent="0.15"/>
  <cols>
    <col min="3" max="3" width="25.5" customWidth="1"/>
    <col min="4" max="5" width="13.5" customWidth="1"/>
    <col min="6" max="6" width="15.5" customWidth="1"/>
    <col min="7" max="9" width="14.5" customWidth="1"/>
    <col min="10" max="11" width="9.5" bestFit="1" customWidth="1"/>
    <col min="13" max="13" width="12.5" customWidth="1"/>
    <col min="14" max="14" width="10.83203125" bestFit="1" customWidth="1"/>
    <col min="16" max="16" width="10" bestFit="1" customWidth="1"/>
  </cols>
  <sheetData>
    <row r="2" spans="2:16" ht="18" x14ac:dyDescent="0.2">
      <c r="C2" s="1" t="s">
        <v>0</v>
      </c>
    </row>
    <row r="3" spans="2:16" x14ac:dyDescent="0.15">
      <c r="C3" t="s">
        <v>1</v>
      </c>
    </row>
    <row r="4" spans="2:16" x14ac:dyDescent="0.15">
      <c r="C4" t="s">
        <v>2</v>
      </c>
    </row>
    <row r="5" spans="2:16" x14ac:dyDescent="0.15">
      <c r="C5" t="s">
        <v>3</v>
      </c>
    </row>
    <row r="6" spans="2:16" x14ac:dyDescent="0.15">
      <c r="C6" t="s">
        <v>4</v>
      </c>
    </row>
    <row r="8" spans="2:16" x14ac:dyDescent="0.15">
      <c r="I8" s="2" t="s">
        <v>5</v>
      </c>
      <c r="M8" t="s">
        <v>6</v>
      </c>
    </row>
    <row r="9" spans="2:16" x14ac:dyDescent="0.15">
      <c r="C9" s="2" t="s">
        <v>7</v>
      </c>
      <c r="D9" s="2" t="s">
        <v>8</v>
      </c>
      <c r="E9" t="s">
        <v>9</v>
      </c>
      <c r="F9" t="s">
        <v>10</v>
      </c>
      <c r="G9" s="3" t="s">
        <v>11</v>
      </c>
      <c r="H9" s="4" t="s">
        <v>12</v>
      </c>
      <c r="I9" t="s">
        <v>13</v>
      </c>
      <c r="J9" s="2" t="s">
        <v>14</v>
      </c>
      <c r="K9" s="2" t="s">
        <v>15</v>
      </c>
      <c r="M9" t="s">
        <v>16</v>
      </c>
    </row>
    <row r="10" spans="2:16" x14ac:dyDescent="0.15">
      <c r="E10" t="s">
        <v>17</v>
      </c>
      <c r="F10" t="s">
        <v>18</v>
      </c>
      <c r="G10" s="3" t="s">
        <v>19</v>
      </c>
      <c r="N10" t="s">
        <v>20</v>
      </c>
      <c r="O10" t="s">
        <v>21</v>
      </c>
      <c r="P10" t="s">
        <v>22</v>
      </c>
    </row>
    <row r="11" spans="2:16" x14ac:dyDescent="0.15">
      <c r="B11" t="s">
        <v>23</v>
      </c>
      <c r="C11" t="s">
        <v>24</v>
      </c>
      <c r="D11">
        <v>513277</v>
      </c>
      <c r="E11">
        <v>59976</v>
      </c>
      <c r="F11" s="5">
        <f>E11/D11*1000</f>
        <v>116.84918669646214</v>
      </c>
      <c r="G11" s="6">
        <f>D11/$D$20*100</f>
        <v>39.226545937543463</v>
      </c>
      <c r="H11">
        <f>G11*$D$25/100</f>
        <v>1026553.9999999999</v>
      </c>
      <c r="I11">
        <v>59976</v>
      </c>
      <c r="J11" s="5">
        <f>I11/D11*1000</f>
        <v>116.84918669646214</v>
      </c>
      <c r="K11" s="7">
        <f>J11/$J$20</f>
        <v>0.6477620539794462</v>
      </c>
      <c r="M11" t="s">
        <v>25</v>
      </c>
      <c r="N11" s="6">
        <f>J14</f>
        <v>59.000584105186618</v>
      </c>
      <c r="O11">
        <f>167778/D26</f>
        <v>335556</v>
      </c>
    </row>
    <row r="12" spans="2:16" x14ac:dyDescent="0.15">
      <c r="C12" t="s">
        <v>26</v>
      </c>
      <c r="D12">
        <v>276447</v>
      </c>
      <c r="E12">
        <v>40304</v>
      </c>
      <c r="F12" s="5">
        <f t="shared" ref="F12:F19" si="0">E12/D12*1000</f>
        <v>145.79286445503118</v>
      </c>
      <c r="G12" s="6">
        <f t="shared" ref="G12:G19" si="1">D12/$D$20*100</f>
        <v>21.127112543122092</v>
      </c>
      <c r="H12">
        <f t="shared" ref="H12:H19" si="2">G12*$D$25/100</f>
        <v>552894</v>
      </c>
      <c r="I12">
        <v>40304</v>
      </c>
      <c r="J12" s="5">
        <f t="shared" ref="J12:J19" si="3">I12/D12*1000</f>
        <v>145.79286445503118</v>
      </c>
      <c r="K12" s="7">
        <f t="shared" ref="K12:K20" si="4">J12/$J$20</f>
        <v>0.80821345877452599</v>
      </c>
      <c r="M12" t="s">
        <v>27</v>
      </c>
      <c r="N12" s="6">
        <f>J13</f>
        <v>97.155019935845544</v>
      </c>
      <c r="O12">
        <f>166785/D26</f>
        <v>333570</v>
      </c>
    </row>
    <row r="13" spans="2:16" x14ac:dyDescent="0.15">
      <c r="C13" t="s">
        <v>27</v>
      </c>
      <c r="D13">
        <v>166785</v>
      </c>
      <c r="E13">
        <v>16204</v>
      </c>
      <c r="F13" s="5">
        <f t="shared" si="0"/>
        <v>97.155019935845544</v>
      </c>
      <c r="G13" s="6">
        <f t="shared" si="1"/>
        <v>12.746332807028537</v>
      </c>
      <c r="H13">
        <f t="shared" si="2"/>
        <v>333569.99999999994</v>
      </c>
      <c r="I13">
        <v>16204</v>
      </c>
      <c r="J13" s="5">
        <f t="shared" si="3"/>
        <v>97.155019935845544</v>
      </c>
      <c r="K13" s="7">
        <f t="shared" si="4"/>
        <v>0.53858599317031275</v>
      </c>
      <c r="M13" t="s">
        <v>24</v>
      </c>
      <c r="N13" s="6">
        <f>J11</f>
        <v>116.84918669646214</v>
      </c>
      <c r="O13">
        <f>513277/D26</f>
        <v>1026554</v>
      </c>
    </row>
    <row r="14" spans="2:16" x14ac:dyDescent="0.15">
      <c r="C14" t="s">
        <v>25</v>
      </c>
      <c r="D14">
        <v>167778</v>
      </c>
      <c r="E14">
        <v>9899</v>
      </c>
      <c r="F14" s="5">
        <f>E14/D14*1000</f>
        <v>59.000584105186618</v>
      </c>
      <c r="G14" s="6">
        <f t="shared" si="1"/>
        <v>12.82222157686623</v>
      </c>
      <c r="H14">
        <f t="shared" si="2"/>
        <v>335556</v>
      </c>
      <c r="I14">
        <v>9899</v>
      </c>
      <c r="J14" s="5">
        <f t="shared" si="3"/>
        <v>59.000584105186618</v>
      </c>
      <c r="K14" s="7">
        <f t="shared" si="4"/>
        <v>0.32707407408185146</v>
      </c>
      <c r="M14" t="s">
        <v>26</v>
      </c>
      <c r="N14" s="6">
        <f>J12</f>
        <v>145.79286445503118</v>
      </c>
      <c r="O14">
        <f>276447/D26</f>
        <v>552894</v>
      </c>
    </row>
    <row r="15" spans="2:16" x14ac:dyDescent="0.15">
      <c r="B15" t="s">
        <v>28</v>
      </c>
      <c r="C15" t="s">
        <v>29</v>
      </c>
      <c r="D15">
        <v>13670</v>
      </c>
      <c r="E15">
        <v>25089</v>
      </c>
      <c r="F15" s="5">
        <f t="shared" si="0"/>
        <v>1835.3328456474032</v>
      </c>
      <c r="G15" s="7">
        <f t="shared" si="1"/>
        <v>1.0447124709780864</v>
      </c>
      <c r="H15">
        <f t="shared" si="2"/>
        <v>27340.000000000004</v>
      </c>
      <c r="I15">
        <v>50175</v>
      </c>
      <c r="J15" s="5">
        <f t="shared" si="3"/>
        <v>3670.4462326261887</v>
      </c>
      <c r="K15" s="7">
        <f t="shared" si="4"/>
        <v>20.347388440479804</v>
      </c>
      <c r="M15" t="s">
        <v>30</v>
      </c>
      <c r="N15" s="6">
        <f>J17</f>
        <v>268.87799087016123</v>
      </c>
      <c r="O15">
        <f>70757/D26</f>
        <v>141514</v>
      </c>
    </row>
    <row r="16" spans="2:16" x14ac:dyDescent="0.15">
      <c r="B16" t="s">
        <v>20</v>
      </c>
      <c r="C16" t="s">
        <v>31</v>
      </c>
      <c r="D16">
        <v>5620</v>
      </c>
      <c r="E16">
        <v>4676</v>
      </c>
      <c r="F16" s="5">
        <f t="shared" si="0"/>
        <v>832.02846975088971</v>
      </c>
      <c r="G16" s="6">
        <f t="shared" si="1"/>
        <v>0.42950139626165651</v>
      </c>
      <c r="H16">
        <f t="shared" si="2"/>
        <v>11240</v>
      </c>
      <c r="I16">
        <v>4676</v>
      </c>
      <c r="J16" s="5">
        <f t="shared" si="3"/>
        <v>832.02846975088971</v>
      </c>
      <c r="K16" s="7">
        <f t="shared" si="4"/>
        <v>4.6124109698362998</v>
      </c>
      <c r="M16" t="s">
        <v>32</v>
      </c>
      <c r="N16" s="6">
        <f>J19</f>
        <v>312.00255827174533</v>
      </c>
      <c r="O16">
        <f>84432/D26</f>
        <v>168864</v>
      </c>
    </row>
    <row r="17" spans="2:17" x14ac:dyDescent="0.15">
      <c r="C17" t="s">
        <v>30</v>
      </c>
      <c r="D17">
        <v>70757</v>
      </c>
      <c r="E17">
        <v>19025</v>
      </c>
      <c r="F17" s="5">
        <f t="shared" si="0"/>
        <v>268.87799087016123</v>
      </c>
      <c r="G17" s="6">
        <f t="shared" si="1"/>
        <v>5.4075142874174436</v>
      </c>
      <c r="H17">
        <f t="shared" si="2"/>
        <v>141514</v>
      </c>
      <c r="I17">
        <v>19025</v>
      </c>
      <c r="J17" s="5">
        <f t="shared" si="3"/>
        <v>268.87799087016123</v>
      </c>
      <c r="K17" s="7">
        <f t="shared" si="4"/>
        <v>1.4905449028786073</v>
      </c>
      <c r="M17" t="s">
        <v>31</v>
      </c>
      <c r="N17" s="6">
        <f>J16</f>
        <v>832.02846975088971</v>
      </c>
      <c r="O17">
        <f>5620/D26</f>
        <v>11240</v>
      </c>
    </row>
    <row r="18" spans="2:17" x14ac:dyDescent="0.15">
      <c r="B18" t="s">
        <v>33</v>
      </c>
      <c r="C18" t="s">
        <v>34</v>
      </c>
      <c r="D18">
        <v>9728</v>
      </c>
      <c r="E18">
        <v>9436</v>
      </c>
      <c r="F18" s="5">
        <f t="shared" si="0"/>
        <v>969.98355263157896</v>
      </c>
      <c r="G18" s="6">
        <f t="shared" si="1"/>
        <v>0.7434501037070097</v>
      </c>
      <c r="H18">
        <f t="shared" si="2"/>
        <v>19456</v>
      </c>
      <c r="I18">
        <v>9436</v>
      </c>
      <c r="J18" s="5">
        <f t="shared" si="3"/>
        <v>969.98355263157896</v>
      </c>
      <c r="K18" s="7">
        <f t="shared" si="4"/>
        <v>5.3771751104360535</v>
      </c>
      <c r="M18" t="s">
        <v>34</v>
      </c>
      <c r="N18" s="6">
        <f>J18</f>
        <v>969.98355263157896</v>
      </c>
      <c r="O18">
        <f>9728/D26</f>
        <v>19456</v>
      </c>
    </row>
    <row r="19" spans="2:17" x14ac:dyDescent="0.15">
      <c r="C19" t="s">
        <v>32</v>
      </c>
      <c r="D19">
        <v>84432</v>
      </c>
      <c r="E19">
        <v>26343</v>
      </c>
      <c r="F19" s="5">
        <f t="shared" si="0"/>
        <v>312.00255827174533</v>
      </c>
      <c r="G19" s="6">
        <f t="shared" si="1"/>
        <v>6.4526088770754777</v>
      </c>
      <c r="H19">
        <f t="shared" si="2"/>
        <v>168864</v>
      </c>
      <c r="I19">
        <v>26343</v>
      </c>
      <c r="J19" s="5">
        <f t="shared" si="3"/>
        <v>312.00255827174533</v>
      </c>
      <c r="K19" s="7">
        <f t="shared" si="4"/>
        <v>1.7296091115974086</v>
      </c>
      <c r="M19" t="s">
        <v>29</v>
      </c>
      <c r="N19" s="6">
        <f>J15</f>
        <v>3670.4462326261887</v>
      </c>
      <c r="O19">
        <f>13670/D26</f>
        <v>27340</v>
      </c>
    </row>
    <row r="20" spans="2:17" x14ac:dyDescent="0.15">
      <c r="C20" t="s">
        <v>35</v>
      </c>
      <c r="D20">
        <f>SUM(D11:D19)</f>
        <v>1308494</v>
      </c>
      <c r="E20">
        <f>SUM(E11:E19)</f>
        <v>210952</v>
      </c>
      <c r="F20" s="5">
        <f>SUMPRODUCT(D11:D19,F11:F19)/D20</f>
        <v>161.21739954482024</v>
      </c>
      <c r="G20">
        <f>SUM(G11:G19)</f>
        <v>99.999999999999986</v>
      </c>
      <c r="H20">
        <f>SUM(H11:H19)</f>
        <v>2616988</v>
      </c>
      <c r="I20">
        <f>SUM(I11:I19)</f>
        <v>236038</v>
      </c>
      <c r="J20" s="6">
        <f>SUMPRODUCT(D11:D19,J11:J19)/D20</f>
        <v>180.38905795517596</v>
      </c>
      <c r="K20" s="7">
        <f t="shared" si="4"/>
        <v>1</v>
      </c>
      <c r="N20" s="7">
        <f>SUMPRODUCT(N11:N19,O11:O19)/O20</f>
        <v>180.38905795517596</v>
      </c>
      <c r="O20">
        <f>SUM(O11:O19)</f>
        <v>2616988</v>
      </c>
      <c r="P20">
        <f>N20*O20/1000</f>
        <v>472076</v>
      </c>
      <c r="Q20">
        <f>P20/I20</f>
        <v>2</v>
      </c>
    </row>
    <row r="22" spans="2:17" x14ac:dyDescent="0.15">
      <c r="C22" t="s">
        <v>36</v>
      </c>
      <c r="F22" s="6">
        <f>F15/F14</f>
        <v>31.107028404589354</v>
      </c>
      <c r="J22" s="6">
        <f>J15/J14</f>
        <v>62.210337207551937</v>
      </c>
    </row>
    <row r="23" spans="2:17" x14ac:dyDescent="0.15">
      <c r="C23" t="s">
        <v>37</v>
      </c>
      <c r="F23" s="6">
        <v>34.465170486475714</v>
      </c>
      <c r="J23" s="8">
        <f>D66</f>
        <v>41.319147711029871</v>
      </c>
    </row>
    <row r="24" spans="2:17" x14ac:dyDescent="0.15">
      <c r="C24" t="s">
        <v>38</v>
      </c>
      <c r="F24" s="6">
        <v>35.464956295765347</v>
      </c>
      <c r="J24" s="8">
        <f>D72</f>
        <v>42.245320550358223</v>
      </c>
    </row>
    <row r="25" spans="2:17" x14ac:dyDescent="0.15">
      <c r="C25" t="s">
        <v>39</v>
      </c>
      <c r="D25">
        <f>SUM(D4:D24)</f>
        <v>2616988</v>
      </c>
    </row>
    <row r="26" spans="2:17" x14ac:dyDescent="0.15">
      <c r="C26" t="s">
        <v>40</v>
      </c>
      <c r="D26" s="7">
        <f>D20/D25</f>
        <v>0.5</v>
      </c>
    </row>
    <row r="28" spans="2:17" x14ac:dyDescent="0.15">
      <c r="C28" t="s">
        <v>41</v>
      </c>
    </row>
    <row r="30" spans="2:17" x14ac:dyDescent="0.15">
      <c r="C30" t="s">
        <v>42</v>
      </c>
    </row>
    <row r="31" spans="2:17" x14ac:dyDescent="0.15">
      <c r="C31" t="s">
        <v>43</v>
      </c>
    </row>
    <row r="32" spans="2:17" x14ac:dyDescent="0.15">
      <c r="C32" t="s">
        <v>44</v>
      </c>
    </row>
    <row r="33" spans="3:26" x14ac:dyDescent="0.15">
      <c r="C33" t="s">
        <v>45</v>
      </c>
    </row>
    <row r="34" spans="3:26" x14ac:dyDescent="0.15">
      <c r="C34" t="s">
        <v>46</v>
      </c>
    </row>
    <row r="37" spans="3:26" x14ac:dyDescent="0.15">
      <c r="C37" s="9" t="s">
        <v>47</v>
      </c>
    </row>
    <row r="39" spans="3:26" x14ac:dyDescent="0.15">
      <c r="C39" s="10" t="s">
        <v>48</v>
      </c>
    </row>
    <row r="40" spans="3:26" x14ac:dyDescent="0.15">
      <c r="C40" s="10" t="s">
        <v>49</v>
      </c>
    </row>
    <row r="41" spans="3:26" x14ac:dyDescent="0.15">
      <c r="C41" s="10" t="s">
        <v>50</v>
      </c>
      <c r="D41" s="11">
        <v>1</v>
      </c>
      <c r="E41" s="11">
        <f t="shared" ref="E41:R41" si="5">D41+1</f>
        <v>2</v>
      </c>
      <c r="F41" s="11">
        <f t="shared" si="5"/>
        <v>3</v>
      </c>
      <c r="G41" s="11">
        <f t="shared" si="5"/>
        <v>4</v>
      </c>
      <c r="H41" s="11">
        <f t="shared" si="5"/>
        <v>5</v>
      </c>
      <c r="I41" s="11">
        <f t="shared" si="5"/>
        <v>6</v>
      </c>
      <c r="J41" s="11">
        <f t="shared" si="5"/>
        <v>7</v>
      </c>
      <c r="K41" s="11">
        <f t="shared" si="5"/>
        <v>8</v>
      </c>
      <c r="L41" s="11">
        <f t="shared" si="5"/>
        <v>9</v>
      </c>
      <c r="M41" s="11">
        <f t="shared" si="5"/>
        <v>10</v>
      </c>
      <c r="N41" s="11">
        <f t="shared" si="5"/>
        <v>11</v>
      </c>
      <c r="O41" s="11">
        <f t="shared" si="5"/>
        <v>12</v>
      </c>
      <c r="P41" s="11">
        <f t="shared" si="5"/>
        <v>13</v>
      </c>
      <c r="Q41" s="11">
        <f t="shared" si="5"/>
        <v>14</v>
      </c>
      <c r="R41" s="11">
        <f t="shared" si="5"/>
        <v>15</v>
      </c>
      <c r="S41" s="11">
        <v>16</v>
      </c>
      <c r="T41" s="11">
        <v>17</v>
      </c>
      <c r="U41" s="11">
        <v>18</v>
      </c>
      <c r="V41" s="11">
        <v>19</v>
      </c>
      <c r="W41" s="11">
        <v>20</v>
      </c>
      <c r="X41" s="11">
        <v>21</v>
      </c>
      <c r="Y41" s="11">
        <v>22</v>
      </c>
      <c r="Z41" s="11">
        <v>23</v>
      </c>
    </row>
    <row r="43" spans="3:26" x14ac:dyDescent="0.15">
      <c r="C43" s="10" t="s">
        <v>51</v>
      </c>
      <c r="D43" s="11">
        <v>50</v>
      </c>
      <c r="E43" s="11">
        <f>D44</f>
        <v>80</v>
      </c>
      <c r="F43" s="11">
        <f t="shared" ref="F43:L43" si="6">E44</f>
        <v>110</v>
      </c>
      <c r="G43" s="11">
        <f t="shared" si="6"/>
        <v>130</v>
      </c>
      <c r="H43" s="11">
        <f t="shared" si="6"/>
        <v>200</v>
      </c>
      <c r="I43" s="11">
        <f t="shared" si="6"/>
        <v>300</v>
      </c>
      <c r="J43" s="11">
        <f t="shared" si="6"/>
        <v>600</v>
      </c>
      <c r="K43" s="11">
        <f t="shared" si="6"/>
        <v>900</v>
      </c>
      <c r="L43" s="11">
        <f t="shared" si="6"/>
        <v>1200</v>
      </c>
      <c r="M43" s="11"/>
      <c r="N43" s="11"/>
    </row>
    <row r="44" spans="3:26" x14ac:dyDescent="0.15">
      <c r="C44" s="10" t="s">
        <v>52</v>
      </c>
      <c r="D44" s="11">
        <v>80</v>
      </c>
      <c r="E44" s="11">
        <v>110</v>
      </c>
      <c r="F44" s="11">
        <v>130</v>
      </c>
      <c r="G44" s="11">
        <v>200</v>
      </c>
      <c r="H44" s="11">
        <v>300</v>
      </c>
      <c r="I44" s="11">
        <v>600</v>
      </c>
      <c r="J44" s="11">
        <v>900</v>
      </c>
      <c r="K44" s="11">
        <v>1200</v>
      </c>
      <c r="L44" s="11">
        <v>5000</v>
      </c>
      <c r="M44" s="11"/>
      <c r="N44" s="11"/>
    </row>
    <row r="46" spans="3:26" x14ac:dyDescent="0.15">
      <c r="C46" s="10" t="s">
        <v>53</v>
      </c>
      <c r="D46" s="5">
        <v>59.000584105186618</v>
      </c>
      <c r="E46" s="5">
        <v>97.155019935845544</v>
      </c>
      <c r="F46" s="5">
        <v>116.84918669646214</v>
      </c>
      <c r="G46" s="5">
        <v>145.79286445503118</v>
      </c>
      <c r="H46" s="5">
        <v>268.87799087016123</v>
      </c>
      <c r="I46" s="5">
        <v>312.00255827174533</v>
      </c>
      <c r="J46" s="5">
        <v>832.02846975088971</v>
      </c>
      <c r="K46" s="5">
        <v>969.98355263157896</v>
      </c>
      <c r="L46" s="5">
        <v>3670.4462326261887</v>
      </c>
      <c r="M46" s="5"/>
      <c r="N46" s="5"/>
      <c r="O46" s="6"/>
    </row>
    <row r="48" spans="3:26" x14ac:dyDescent="0.15">
      <c r="C48" s="10" t="s">
        <v>54</v>
      </c>
      <c r="D48" s="12">
        <v>335556</v>
      </c>
      <c r="E48" s="12">
        <v>333570</v>
      </c>
      <c r="F48" s="12">
        <v>1026554</v>
      </c>
      <c r="G48" s="12">
        <v>552894</v>
      </c>
      <c r="H48" s="12">
        <v>141514</v>
      </c>
      <c r="I48" s="12">
        <v>168864</v>
      </c>
      <c r="J48" s="12">
        <v>11240</v>
      </c>
      <c r="K48" s="12">
        <v>19456</v>
      </c>
      <c r="L48" s="12">
        <v>27340</v>
      </c>
      <c r="M48" s="12"/>
      <c r="N48" s="13"/>
    </row>
    <row r="49" spans="3:27" x14ac:dyDescent="0.15">
      <c r="L49" s="12"/>
      <c r="M49" s="12"/>
    </row>
    <row r="51" spans="3:27" x14ac:dyDescent="0.15">
      <c r="C51" s="10" t="s">
        <v>55</v>
      </c>
    </row>
    <row r="52" spans="3:27" x14ac:dyDescent="0.15">
      <c r="C52" s="10" t="s">
        <v>56</v>
      </c>
    </row>
    <row r="53" spans="3:27" x14ac:dyDescent="0.15">
      <c r="C53" s="10" t="s">
        <v>57</v>
      </c>
      <c r="D53" s="14">
        <f>D48/$D$59*100</f>
        <v>12.82222157686623</v>
      </c>
      <c r="E53" s="14">
        <f t="shared" ref="E53:L53" si="7">E48/$D$59*100</f>
        <v>12.746332807028537</v>
      </c>
      <c r="F53" s="14">
        <f t="shared" si="7"/>
        <v>39.226545937543463</v>
      </c>
      <c r="G53" s="14">
        <f t="shared" si="7"/>
        <v>21.127112543122092</v>
      </c>
      <c r="H53" s="14">
        <f t="shared" si="7"/>
        <v>5.4075142874174436</v>
      </c>
      <c r="I53" s="14">
        <f t="shared" si="7"/>
        <v>6.4526088770754777</v>
      </c>
      <c r="J53" s="14">
        <f t="shared" si="7"/>
        <v>0.42950139626165651</v>
      </c>
      <c r="K53" s="14">
        <f t="shared" si="7"/>
        <v>0.7434501037070097</v>
      </c>
      <c r="L53" s="14">
        <f t="shared" si="7"/>
        <v>1.0447124709780864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3:27" x14ac:dyDescent="0.15">
      <c r="C54" s="10" t="s">
        <v>58</v>
      </c>
      <c r="D54" s="14">
        <f>D53</f>
        <v>12.82222157686623</v>
      </c>
      <c r="E54" s="14">
        <f t="shared" ref="E54:L54" si="8">D54+E53</f>
        <v>25.568554383894767</v>
      </c>
      <c r="F54" s="14">
        <f t="shared" si="8"/>
        <v>64.795100321438227</v>
      </c>
      <c r="G54" s="14">
        <f t="shared" si="8"/>
        <v>85.922212864560322</v>
      </c>
      <c r="H54" s="14">
        <f t="shared" si="8"/>
        <v>91.329727151977764</v>
      </c>
      <c r="I54" s="14">
        <f t="shared" si="8"/>
        <v>97.782336029053241</v>
      </c>
      <c r="J54" s="14">
        <f t="shared" si="8"/>
        <v>98.211837425314897</v>
      </c>
      <c r="K54" s="14">
        <f t="shared" si="8"/>
        <v>98.955287529021902</v>
      </c>
      <c r="L54" s="14">
        <f t="shared" si="8"/>
        <v>99.999999999999986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3:27" x14ac:dyDescent="0.15">
      <c r="C55" s="10" t="s">
        <v>59</v>
      </c>
      <c r="D55" s="12">
        <f t="shared" ref="D55:L55" si="9">D46*D48</f>
        <v>19798000</v>
      </c>
      <c r="E55" s="12">
        <f t="shared" si="9"/>
        <v>32408000</v>
      </c>
      <c r="F55" s="12">
        <f t="shared" si="9"/>
        <v>119952000</v>
      </c>
      <c r="G55" s="12">
        <f t="shared" si="9"/>
        <v>80608000.000000015</v>
      </c>
      <c r="H55" s="15">
        <f t="shared" si="9"/>
        <v>38049999.999999993</v>
      </c>
      <c r="I55" s="15">
        <f t="shared" si="9"/>
        <v>52686000</v>
      </c>
      <c r="J55" s="15">
        <f t="shared" si="9"/>
        <v>9352000</v>
      </c>
      <c r="K55" s="15">
        <f t="shared" si="9"/>
        <v>18872000</v>
      </c>
      <c r="L55" s="15">
        <f t="shared" si="9"/>
        <v>100350000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3:27" x14ac:dyDescent="0.15">
      <c r="C56" s="10" t="s">
        <v>60</v>
      </c>
      <c r="D56" s="14">
        <f>D55/$D$58*100</f>
        <v>4.1938162499258596</v>
      </c>
      <c r="E56" s="14">
        <f t="shared" ref="E56:L56" si="10">E55/$D$58*100</f>
        <v>6.8649963141528065</v>
      </c>
      <c r="F56" s="14">
        <f t="shared" si="10"/>
        <v>25.409467967022259</v>
      </c>
      <c r="G56" s="14">
        <f t="shared" si="10"/>
        <v>17.07521670239538</v>
      </c>
      <c r="H56" s="14">
        <f t="shared" si="10"/>
        <v>8.0601428583533146</v>
      </c>
      <c r="I56" s="14">
        <f t="shared" si="10"/>
        <v>11.16049110736407</v>
      </c>
      <c r="J56" s="14">
        <f t="shared" si="10"/>
        <v>1.9810369516772723</v>
      </c>
      <c r="K56" s="14">
        <f t="shared" si="10"/>
        <v>3.9976613935044356</v>
      </c>
      <c r="L56" s="14">
        <f t="shared" si="10"/>
        <v>21.257170455604609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3:27" x14ac:dyDescent="0.15">
      <c r="C57" s="10" t="s">
        <v>61</v>
      </c>
      <c r="D57" s="14">
        <f>D56</f>
        <v>4.1938162499258596</v>
      </c>
      <c r="E57" s="14">
        <f t="shared" ref="E57:L57" si="11">D57+E56</f>
        <v>11.058812564078666</v>
      </c>
      <c r="F57" s="14">
        <f t="shared" si="11"/>
        <v>36.468280531100923</v>
      </c>
      <c r="G57" s="14">
        <f t="shared" si="11"/>
        <v>53.543497233496304</v>
      </c>
      <c r="H57" s="14">
        <f t="shared" si="11"/>
        <v>61.60364009184962</v>
      </c>
      <c r="I57" s="14">
        <f t="shared" si="11"/>
        <v>72.764131199213693</v>
      </c>
      <c r="J57" s="14">
        <f t="shared" si="11"/>
        <v>74.745168150890962</v>
      </c>
      <c r="K57" s="14">
        <f t="shared" si="11"/>
        <v>78.742829544395391</v>
      </c>
      <c r="L57" s="14">
        <f t="shared" si="11"/>
        <v>100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3:27" x14ac:dyDescent="0.15">
      <c r="C58" s="10" t="s">
        <v>13</v>
      </c>
      <c r="D58" s="12">
        <f>SUM(D55:AB55)</f>
        <v>472076000</v>
      </c>
    </row>
    <row r="59" spans="3:27" x14ac:dyDescent="0.15">
      <c r="C59" s="10" t="s">
        <v>62</v>
      </c>
      <c r="D59" s="12">
        <f>SUM(D48:AB48)</f>
        <v>2616988</v>
      </c>
    </row>
    <row r="60" spans="3:27" x14ac:dyDescent="0.15">
      <c r="C60" s="10" t="s">
        <v>63</v>
      </c>
      <c r="D60" s="16">
        <f>D58/D59</f>
        <v>180.38905795517596</v>
      </c>
    </row>
    <row r="62" spans="3:27" x14ac:dyDescent="0.15">
      <c r="C62" s="10" t="s">
        <v>64</v>
      </c>
    </row>
    <row r="63" spans="3:27" x14ac:dyDescent="0.15">
      <c r="C63" s="10" t="s">
        <v>65</v>
      </c>
    </row>
    <row r="64" spans="3:27" x14ac:dyDescent="0.15">
      <c r="D64" s="14">
        <f>D53*D56</f>
        <v>53.774041209211575</v>
      </c>
      <c r="E64" s="14">
        <f t="shared" ref="E64:L64" si="12">E53*(D57+E57)</f>
        <v>194.41508304537464</v>
      </c>
      <c r="F64" s="14">
        <f t="shared" si="12"/>
        <v>1864.3237005759668</v>
      </c>
      <c r="G64" s="14">
        <f t="shared" si="12"/>
        <v>1901.6889590391402</v>
      </c>
      <c r="H64" s="14">
        <f t="shared" si="12"/>
        <v>622.65979024202647</v>
      </c>
      <c r="I64" s="14">
        <f t="shared" si="12"/>
        <v>867.02267382556272</v>
      </c>
      <c r="J64" s="14">
        <f t="shared" si="12"/>
        <v>63.355450032448601</v>
      </c>
      <c r="K64" s="14">
        <f t="shared" si="12"/>
        <v>114.11066780434192</v>
      </c>
      <c r="L64" s="14">
        <f t="shared" si="12"/>
        <v>186.73486312294023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3:27" x14ac:dyDescent="0.15">
      <c r="D65" s="17"/>
    </row>
    <row r="66" spans="3:27" x14ac:dyDescent="0.15">
      <c r="C66" s="10" t="s">
        <v>66</v>
      </c>
      <c r="D66" s="14">
        <f>(1-(SUM(D64:AB64)/10000))*100</f>
        <v>41.319147711029871</v>
      </c>
    </row>
    <row r="68" spans="3:27" x14ac:dyDescent="0.15">
      <c r="C68" s="10" t="s">
        <v>67</v>
      </c>
      <c r="D68" s="14">
        <f t="shared" ref="D68:L68" si="13">D44-D43</f>
        <v>30</v>
      </c>
      <c r="E68" s="14">
        <f t="shared" si="13"/>
        <v>30</v>
      </c>
      <c r="F68" s="14">
        <f t="shared" si="13"/>
        <v>20</v>
      </c>
      <c r="G68" s="14">
        <f t="shared" si="13"/>
        <v>70</v>
      </c>
      <c r="H68" s="14">
        <f t="shared" si="13"/>
        <v>100</v>
      </c>
      <c r="I68" s="14">
        <f t="shared" si="13"/>
        <v>300</v>
      </c>
      <c r="J68" s="14">
        <f t="shared" si="13"/>
        <v>300</v>
      </c>
      <c r="K68" s="14">
        <f t="shared" si="13"/>
        <v>300</v>
      </c>
      <c r="L68" s="14">
        <f t="shared" si="13"/>
        <v>3800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3:27" x14ac:dyDescent="0.15">
      <c r="D69" s="14">
        <f t="shared" ref="D69:L69" si="14">(D46-D43)/D68</f>
        <v>0.30001947017288727</v>
      </c>
      <c r="E69" s="14">
        <f t="shared" si="14"/>
        <v>0.57183399786151812</v>
      </c>
      <c r="F69" s="14">
        <f t="shared" si="14"/>
        <v>0.34245933482310703</v>
      </c>
      <c r="G69" s="14">
        <f t="shared" si="14"/>
        <v>0.22561234935758825</v>
      </c>
      <c r="H69" s="14">
        <f t="shared" si="14"/>
        <v>0.68877990870161232</v>
      </c>
      <c r="I69" s="14">
        <f t="shared" si="14"/>
        <v>4.000852757248443E-2</v>
      </c>
      <c r="J69" s="14">
        <f t="shared" si="14"/>
        <v>0.77342823250296566</v>
      </c>
      <c r="K69" s="14">
        <f t="shared" si="14"/>
        <v>0.23327850877192988</v>
      </c>
      <c r="L69" s="14">
        <f t="shared" si="14"/>
        <v>0.65011742963847075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3:27" x14ac:dyDescent="0.15">
      <c r="D70" s="12">
        <f t="shared" ref="D70:L70" si="15">(D53*D53/10000)*D68*D69*(1-D69)</f>
        <v>0.10358174179230353</v>
      </c>
      <c r="E70" s="12">
        <f t="shared" si="15"/>
        <v>0.11933666982791023</v>
      </c>
      <c r="F70" s="12">
        <f t="shared" si="15"/>
        <v>0.69298168682414907</v>
      </c>
      <c r="G70" s="12">
        <f t="shared" si="15"/>
        <v>0.5458830609272769</v>
      </c>
      <c r="H70" s="12">
        <f t="shared" si="15"/>
        <v>6.2682086940652526E-2</v>
      </c>
      <c r="I70" s="12">
        <f t="shared" si="15"/>
        <v>4.7974657278986761E-2</v>
      </c>
      <c r="J70" s="12">
        <f t="shared" si="15"/>
        <v>9.6978671055011163E-4</v>
      </c>
      <c r="K70" s="12">
        <f t="shared" si="15"/>
        <v>2.965768680726909E-3</v>
      </c>
      <c r="L70" s="12">
        <f t="shared" si="15"/>
        <v>9.4339000918564703E-2</v>
      </c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4"/>
    </row>
    <row r="71" spans="3:27" x14ac:dyDescent="0.15">
      <c r="C71" s="10" t="s">
        <v>68</v>
      </c>
      <c r="D71" s="14">
        <f>((SUM(D70:N70))/$D$60)*100</f>
        <v>0.92617283932835259</v>
      </c>
    </row>
    <row r="72" spans="3:27" x14ac:dyDescent="0.15">
      <c r="C72" s="10" t="s">
        <v>69</v>
      </c>
      <c r="D72" s="14">
        <f>D66+D71</f>
        <v>42.245320550358223</v>
      </c>
      <c r="E72" s="6">
        <f>+((D72/D66)-1)*100</f>
        <v>2.241510027761584</v>
      </c>
    </row>
  </sheetData>
  <phoneticPr fontId="6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 1876</vt:lpstr>
    </vt:vector>
  </TitlesOfParts>
  <Company>CUNY The Graduate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Milanovic, Branko</dc:creator>
  <cp:lastModifiedBy>Microsoft Office User</cp:lastModifiedBy>
  <dcterms:created xsi:type="dcterms:W3CDTF">2016-03-31T18:58:15Z</dcterms:created>
  <dcterms:modified xsi:type="dcterms:W3CDTF">2021-02-02T05:04:07Z</dcterms:modified>
</cp:coreProperties>
</file>